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9" sheetId="2" r:id="rId1"/>
    <sheet name="Foglio1" sheetId="1" r:id="rId2"/>
    <sheet name="costo sacchett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D3" i="3" l="1"/>
  <c r="G18" i="2" l="1"/>
  <c r="G15" i="2" l="1"/>
  <c r="N52" i="2" s="1"/>
  <c r="J16" i="2" l="1"/>
  <c r="M22" i="2" l="1"/>
  <c r="N22" i="2" s="1"/>
  <c r="H45" i="2"/>
  <c r="H44" i="2"/>
  <c r="H43" i="2"/>
  <c r="H42" i="2"/>
  <c r="H41" i="2"/>
  <c r="H40" i="2"/>
  <c r="H39" i="2"/>
  <c r="H38" i="2"/>
  <c r="H37" i="2"/>
  <c r="H36" i="2"/>
  <c r="H35" i="2"/>
  <c r="H34" i="2"/>
  <c r="G45" i="2"/>
  <c r="G44" i="2"/>
  <c r="G43" i="2"/>
  <c r="G42" i="2"/>
  <c r="G41" i="2"/>
  <c r="G40" i="2"/>
  <c r="G39" i="2"/>
  <c r="G38" i="2"/>
  <c r="G37" i="2"/>
  <c r="G36" i="2"/>
  <c r="G35" i="2"/>
  <c r="G34" i="2"/>
  <c r="F45" i="2"/>
  <c r="F44" i="2"/>
  <c r="F43" i="2"/>
  <c r="F42" i="2"/>
  <c r="F41" i="2"/>
  <c r="F40" i="2"/>
  <c r="F39" i="2"/>
  <c r="F38" i="2"/>
  <c r="F37" i="2"/>
  <c r="F36" i="2"/>
  <c r="F35" i="2"/>
  <c r="E45" i="2"/>
  <c r="E44" i="2"/>
  <c r="E43" i="2"/>
  <c r="E42" i="2"/>
  <c r="E41" i="2"/>
  <c r="E40" i="2"/>
  <c r="E39" i="2"/>
  <c r="E38" i="2"/>
  <c r="E37" i="2"/>
  <c r="E36" i="2"/>
  <c r="E35" i="2"/>
  <c r="D45" i="2"/>
  <c r="D44" i="2"/>
  <c r="D43" i="2"/>
  <c r="D42" i="2"/>
  <c r="D41" i="2"/>
  <c r="D40" i="2"/>
  <c r="D39" i="2"/>
  <c r="D38" i="2"/>
  <c r="D37" i="2"/>
  <c r="D36" i="2"/>
  <c r="D35" i="2"/>
  <c r="F34" i="2"/>
  <c r="E34" i="2"/>
  <c r="D34" i="2"/>
  <c r="C45" i="2"/>
  <c r="C44" i="2"/>
  <c r="C43" i="2"/>
  <c r="C42" i="2"/>
  <c r="C41" i="2"/>
  <c r="C40" i="2"/>
  <c r="C39" i="2"/>
  <c r="C38" i="2"/>
  <c r="C37" i="2"/>
  <c r="C36" i="2"/>
  <c r="C35" i="2"/>
  <c r="C34" i="2"/>
  <c r="B45" i="2"/>
  <c r="B44" i="2"/>
  <c r="B43" i="2"/>
  <c r="B42" i="2"/>
  <c r="B41" i="2"/>
  <c r="B40" i="2"/>
  <c r="B39" i="2"/>
  <c r="B38" i="2"/>
  <c r="B37" i="2"/>
  <c r="B36" i="2"/>
  <c r="B35" i="2"/>
  <c r="B34" i="2"/>
  <c r="F47" i="2" l="1"/>
  <c r="K16" i="2"/>
  <c r="N37" i="2"/>
  <c r="N36" i="2"/>
  <c r="N35" i="2"/>
  <c r="G47" i="2" l="1"/>
  <c r="N34" i="2"/>
  <c r="F16" i="2" l="1"/>
  <c r="I16" i="2"/>
  <c r="M14" i="2"/>
  <c r="N14" i="2" s="1"/>
  <c r="M13" i="2"/>
  <c r="N13" i="2" s="1"/>
  <c r="M12" i="2"/>
  <c r="N12" i="2" s="1"/>
  <c r="M11" i="2"/>
  <c r="N11" i="2" s="1"/>
  <c r="M10" i="2"/>
  <c r="N10" i="2" s="1"/>
  <c r="M9" i="2"/>
  <c r="N9" i="2" s="1"/>
  <c r="N8" i="2"/>
  <c r="M7" i="2"/>
  <c r="N7" i="2" s="1"/>
  <c r="M6" i="2"/>
  <c r="N6" i="2" s="1"/>
  <c r="M5" i="2"/>
  <c r="N5" i="2" s="1"/>
  <c r="M4" i="2"/>
  <c r="N4" i="2" s="1"/>
  <c r="M3" i="2"/>
  <c r="N3" i="2" s="1"/>
  <c r="K47" i="2" l="1"/>
  <c r="M47" i="2" l="1"/>
  <c r="L47" i="2"/>
  <c r="J47" i="2"/>
  <c r="I47" i="2"/>
  <c r="N38" i="2"/>
  <c r="M28" i="2"/>
  <c r="N28" i="2" s="1"/>
  <c r="M27" i="2"/>
  <c r="N27" i="2" s="1"/>
  <c r="M26" i="2"/>
  <c r="N26" i="2" s="1"/>
  <c r="N25" i="2"/>
  <c r="M25" i="2"/>
  <c r="M24" i="2"/>
  <c r="N24" i="2" s="1"/>
  <c r="M23" i="2"/>
  <c r="N23" i="2" s="1"/>
  <c r="L16" i="2"/>
  <c r="H16" i="2"/>
  <c r="E16" i="2"/>
  <c r="D16" i="2"/>
  <c r="C16" i="2"/>
  <c r="B16" i="2"/>
  <c r="B16" i="1"/>
  <c r="M16" i="2" l="1"/>
  <c r="N16" i="2" s="1"/>
  <c r="N45" i="2"/>
  <c r="N44" i="2"/>
  <c r="N43" i="2"/>
  <c r="N42" i="2"/>
  <c r="N41" i="2"/>
  <c r="N40" i="2"/>
  <c r="N39" i="2"/>
  <c r="H47" i="2"/>
  <c r="C47" i="2"/>
  <c r="E47" i="2"/>
  <c r="B47" i="2"/>
  <c r="D47" i="2"/>
  <c r="K45" i="1"/>
  <c r="H45" i="1"/>
  <c r="L40" i="1"/>
  <c r="L32" i="1"/>
  <c r="J45" i="1"/>
  <c r="I45" i="1"/>
  <c r="G43" i="1"/>
  <c r="G42" i="1"/>
  <c r="G41" i="1"/>
  <c r="G40" i="1"/>
  <c r="G39" i="1"/>
  <c r="G38" i="1"/>
  <c r="G37" i="1"/>
  <c r="G36" i="1"/>
  <c r="G35" i="1"/>
  <c r="G34" i="1"/>
  <c r="G33" i="1"/>
  <c r="G32" i="1"/>
  <c r="F43" i="1"/>
  <c r="F42" i="1"/>
  <c r="F41" i="1"/>
  <c r="F40" i="1"/>
  <c r="F39" i="1"/>
  <c r="F38" i="1"/>
  <c r="F37" i="1"/>
  <c r="F36" i="1"/>
  <c r="F35" i="1"/>
  <c r="F34" i="1"/>
  <c r="F33" i="1"/>
  <c r="F32" i="1"/>
  <c r="E43" i="1"/>
  <c r="E42" i="1"/>
  <c r="E41" i="1"/>
  <c r="E40" i="1"/>
  <c r="E39" i="1"/>
  <c r="E38" i="1"/>
  <c r="E37" i="1"/>
  <c r="E36" i="1"/>
  <c r="E35" i="1"/>
  <c r="E34" i="1"/>
  <c r="E33" i="1"/>
  <c r="E32" i="1"/>
  <c r="D43" i="1"/>
  <c r="D42" i="1"/>
  <c r="D41" i="1"/>
  <c r="D40" i="1"/>
  <c r="D39" i="1"/>
  <c r="D38" i="1"/>
  <c r="D37" i="1"/>
  <c r="D36" i="1"/>
  <c r="D35" i="1"/>
  <c r="D34" i="1"/>
  <c r="D33" i="1"/>
  <c r="D32" i="1"/>
  <c r="C43" i="1"/>
  <c r="C42" i="1"/>
  <c r="C41" i="1"/>
  <c r="L41" i="1" s="1"/>
  <c r="C40" i="1"/>
  <c r="C39" i="1"/>
  <c r="C38" i="1"/>
  <c r="C37" i="1"/>
  <c r="L37" i="1" s="1"/>
  <c r="C36" i="1"/>
  <c r="L36" i="1" s="1"/>
  <c r="C35" i="1"/>
  <c r="C34" i="1"/>
  <c r="C33" i="1"/>
  <c r="L33" i="1" s="1"/>
  <c r="C32" i="1"/>
  <c r="B43" i="1"/>
  <c r="L43" i="1" s="1"/>
  <c r="B42" i="1"/>
  <c r="L42" i="1" s="1"/>
  <c r="B41" i="1"/>
  <c r="B40" i="1"/>
  <c r="B39" i="1"/>
  <c r="L39" i="1" s="1"/>
  <c r="B38" i="1"/>
  <c r="L38" i="1" s="1"/>
  <c r="B37" i="1"/>
  <c r="B36" i="1"/>
  <c r="B35" i="1"/>
  <c r="L35" i="1" s="1"/>
  <c r="B34" i="1"/>
  <c r="L34" i="1" s="1"/>
  <c r="B33" i="1"/>
  <c r="B32" i="1"/>
  <c r="N47" i="2" l="1"/>
  <c r="N50" i="2"/>
  <c r="N55" i="2" s="1"/>
  <c r="L48" i="1"/>
  <c r="B45" i="1"/>
  <c r="G45" i="1"/>
  <c r="E45" i="1"/>
  <c r="D45" i="1"/>
  <c r="C45" i="1"/>
  <c r="K21" i="1"/>
  <c r="L21" i="1" s="1"/>
  <c r="L45" i="1" l="1"/>
  <c r="K26" i="1"/>
  <c r="L26" i="1" s="1"/>
  <c r="K25" i="1"/>
  <c r="L25" i="1" s="1"/>
  <c r="K24" i="1"/>
  <c r="L24" i="1" s="1"/>
  <c r="K23" i="1"/>
  <c r="L23" i="1" s="1"/>
  <c r="K22" i="1"/>
  <c r="L22" i="1" s="1"/>
  <c r="J16" i="1" l="1"/>
  <c r="G16" i="1"/>
  <c r="E16" i="1"/>
  <c r="D16" i="1"/>
  <c r="C16" i="1"/>
  <c r="K16" i="1" l="1"/>
  <c r="L16" i="1" s="1"/>
  <c r="K3" i="1"/>
  <c r="L3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</calcChain>
</file>

<file path=xl/sharedStrings.xml><?xml version="1.0" encoding="utf-8"?>
<sst xmlns="http://schemas.openxmlformats.org/spreadsheetml/2006/main" count="151" uniqueCount="59">
  <si>
    <t>GENNAIO</t>
  </si>
  <si>
    <t>FEBBRAIO</t>
  </si>
  <si>
    <t>MARZO</t>
  </si>
  <si>
    <t xml:space="preserve">APRILE </t>
  </si>
  <si>
    <t>MAGGIO</t>
  </si>
  <si>
    <t>GIUGNO</t>
  </si>
  <si>
    <t>INGOMBRANTI</t>
  </si>
  <si>
    <t>CARTA</t>
  </si>
  <si>
    <t>MULTIMATERIALE</t>
  </si>
  <si>
    <t>TOTALE</t>
  </si>
  <si>
    <t>%</t>
  </si>
  <si>
    <t>LUGLIO</t>
  </si>
  <si>
    <t>AGOSTO</t>
  </si>
  <si>
    <t>SETTEMBRE</t>
  </si>
  <si>
    <t>OTTOBRE</t>
  </si>
  <si>
    <t>NOVEMBRE</t>
  </si>
  <si>
    <t>DICEMBRE</t>
  </si>
  <si>
    <t>anno 2016</t>
  </si>
  <si>
    <t>anno 2015</t>
  </si>
  <si>
    <t>anno 2014</t>
  </si>
  <si>
    <t xml:space="preserve">TOTALI ( CRITERI PROVINCIA) </t>
  </si>
  <si>
    <t xml:space="preserve">anno 2013 </t>
  </si>
  <si>
    <t>anno 2012</t>
  </si>
  <si>
    <t>ALTRI(metalli etc)</t>
  </si>
  <si>
    <t>kg</t>
  </si>
  <si>
    <t>CONSUNTIVI ANNI PRECEDENTI</t>
  </si>
  <si>
    <t>RIFIUTO INDIFFERENZI.</t>
  </si>
  <si>
    <t>INGOMBRANTI 100% DIFFER.</t>
  </si>
  <si>
    <t>INGOM. 50% DIFFEREN.</t>
  </si>
  <si>
    <t>PERCENTUALE</t>
  </si>
  <si>
    <t>RACCOLTA RIFIUTI  2018</t>
  </si>
  <si>
    <t>UMIDO</t>
  </si>
  <si>
    <t>VERDE</t>
  </si>
  <si>
    <t>Kg</t>
  </si>
  <si>
    <t xml:space="preserve">PNEUMATICI </t>
  </si>
  <si>
    <t>LEGNO</t>
  </si>
  <si>
    <t>COSTI RACCOLTA RIFIUTI 2018</t>
  </si>
  <si>
    <t xml:space="preserve">TOTALI   </t>
  </si>
  <si>
    <t>PNEUMATICI</t>
  </si>
  <si>
    <t>FISSO IND.</t>
  </si>
  <si>
    <t>FISSOUMIDO</t>
  </si>
  <si>
    <t>FISSO CARTA</t>
  </si>
  <si>
    <t>FISSO MULTIMATERIALE</t>
  </si>
  <si>
    <t>CONTROLLO</t>
  </si>
  <si>
    <t>anno 2017</t>
  </si>
  <si>
    <t>FISSO VERDE</t>
  </si>
  <si>
    <t>RESIDUI STRADALI</t>
  </si>
  <si>
    <t>PULIZIA GHIAIA STRAD</t>
  </si>
  <si>
    <t>INERTI KG. 15 ABITANTE</t>
  </si>
  <si>
    <t>anno 2018</t>
  </si>
  <si>
    <t>INERTI</t>
  </si>
  <si>
    <t>NOLEGGI</t>
  </si>
  <si>
    <t>costo</t>
  </si>
  <si>
    <t>utenti</t>
  </si>
  <si>
    <t>settimane</t>
  </si>
  <si>
    <t>costo sacchetto</t>
  </si>
  <si>
    <t>TOTALE EFFETTIVO</t>
  </si>
  <si>
    <t>anno 2019</t>
  </si>
  <si>
    <t>RACCOLTA RIFIUTI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</si>
</sst>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[$€-410]\ * #,##0.00_-;\-[$€-410]\ * #,##0.00_-;_-[$€-410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43" fontId="2" fillId="0" borderId="0" xfId="1" applyFont="1"/>
    <xf numFmtId="43" fontId="2" fillId="0" borderId="0" xfId="0" applyNumberFormat="1" applyFont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43" fontId="6" fillId="0" borderId="0" xfId="0" applyNumberFormat="1" applyFont="1"/>
    <xf numFmtId="0" fontId="6" fillId="0" borderId="0" xfId="0" applyFont="1"/>
    <xf numFmtId="0" fontId="2" fillId="2" borderId="0" xfId="0" applyFont="1" applyFill="1"/>
    <xf numFmtId="43" fontId="4" fillId="2" borderId="0" xfId="1" applyFont="1" applyFill="1"/>
    <xf numFmtId="43" fontId="4" fillId="2" borderId="0" xfId="0" applyNumberFormat="1" applyFont="1" applyFill="1"/>
    <xf numFmtId="0" fontId="0" fillId="2" borderId="0" xfId="0" applyFill="1"/>
    <xf numFmtId="0" fontId="7" fillId="0" borderId="0" xfId="0" applyFont="1"/>
    <xf numFmtId="43" fontId="4" fillId="0" borderId="0" xfId="1" applyFont="1"/>
    <xf numFmtId="0" fontId="4" fillId="2" borderId="0" xfId="0" applyFont="1" applyFill="1"/>
    <xf numFmtId="43" fontId="2" fillId="2" borderId="0" xfId="0" applyNumberFormat="1" applyFont="1" applyFill="1"/>
    <xf numFmtId="0" fontId="0" fillId="3" borderId="0" xfId="0" applyFill="1" applyAlignment="1">
      <alignment horizontal="center"/>
    </xf>
    <xf numFmtId="43" fontId="0" fillId="0" borderId="0" xfId="0" applyNumberFormat="1"/>
    <xf numFmtId="0" fontId="5" fillId="0" borderId="0" xfId="0" applyFont="1" applyAlignment="1">
      <alignment horizontal="center"/>
    </xf>
    <xf numFmtId="43" fontId="6" fillId="0" borderId="0" xfId="1" applyFont="1"/>
    <xf numFmtId="164" fontId="0" fillId="0" borderId="0" xfId="1" applyNumberFormat="1" applyFont="1"/>
    <xf numFmtId="44" fontId="0" fillId="0" borderId="0" xfId="2" applyFont="1"/>
    <xf numFmtId="43" fontId="0" fillId="2" borderId="0" xfId="1" applyFont="1" applyFill="1"/>
    <xf numFmtId="44" fontId="8" fillId="0" borderId="0" xfId="2" applyFont="1"/>
    <xf numFmtId="165" fontId="2" fillId="0" borderId="0" xfId="0" applyNumberFormat="1" applyFont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workbookViewId="0">
      <selection activeCell="C8" sqref="C8"/>
    </sheetView>
  </sheetViews>
  <sheetFormatPr defaultRowHeight="15" x14ac:dyDescent="0.25"/>
  <cols>
    <col min="1" max="1" width="28.140625" customWidth="1"/>
    <col min="2" max="2" width="15.85546875" customWidth="1"/>
    <col min="3" max="3" width="14.7109375" customWidth="1"/>
    <col min="4" max="4" width="16.28515625" customWidth="1"/>
    <col min="5" max="5" width="16.42578125" customWidth="1"/>
    <col min="6" max="7" width="15.7109375" customWidth="1"/>
    <col min="8" max="8" width="16.42578125" customWidth="1"/>
    <col min="9" max="9" width="15.28515625" customWidth="1"/>
    <col min="10" max="10" width="14.28515625" customWidth="1"/>
    <col min="11" max="11" width="16" customWidth="1"/>
    <col min="12" max="12" width="17" customWidth="1"/>
    <col min="13" max="13" width="21.5703125" customWidth="1"/>
    <col min="14" max="14" width="27.5703125" customWidth="1"/>
  </cols>
  <sheetData>
    <row r="1" spans="1:15" x14ac:dyDescent="0.25">
      <c r="B1" t="s">
        <v>24</v>
      </c>
      <c r="C1" t="s">
        <v>24</v>
      </c>
      <c r="D1" t="s">
        <v>24</v>
      </c>
      <c r="E1" t="s">
        <v>24</v>
      </c>
      <c r="F1" t="s">
        <v>33</v>
      </c>
      <c r="H1" t="s">
        <v>24</v>
      </c>
      <c r="L1" t="s">
        <v>24</v>
      </c>
      <c r="N1" s="14" t="s">
        <v>29</v>
      </c>
    </row>
    <row r="2" spans="1:15" x14ac:dyDescent="0.25">
      <c r="A2" t="s">
        <v>58</v>
      </c>
      <c r="B2" s="7" t="s">
        <v>26</v>
      </c>
      <c r="C2" s="6" t="s">
        <v>6</v>
      </c>
      <c r="D2" s="6" t="s">
        <v>7</v>
      </c>
      <c r="E2" t="s">
        <v>8</v>
      </c>
      <c r="F2" t="s">
        <v>31</v>
      </c>
      <c r="G2" t="s">
        <v>50</v>
      </c>
      <c r="H2" s="6" t="s">
        <v>32</v>
      </c>
      <c r="I2" s="6" t="s">
        <v>34</v>
      </c>
      <c r="J2" s="6" t="s">
        <v>35</v>
      </c>
      <c r="K2" s="20" t="s">
        <v>47</v>
      </c>
      <c r="L2" s="6" t="s">
        <v>23</v>
      </c>
      <c r="M2" s="6" t="s">
        <v>9</v>
      </c>
      <c r="N2" s="6" t="s">
        <v>10</v>
      </c>
    </row>
    <row r="3" spans="1:15" x14ac:dyDescent="0.25">
      <c r="A3" t="s">
        <v>0</v>
      </c>
      <c r="B3" s="1">
        <v>39482.39</v>
      </c>
      <c r="C3" s="1">
        <v>3638</v>
      </c>
      <c r="D3" s="1">
        <v>16330</v>
      </c>
      <c r="E3" s="1">
        <v>17790</v>
      </c>
      <c r="F3" s="1">
        <v>9970</v>
      </c>
      <c r="G3" s="1">
        <v>9040</v>
      </c>
      <c r="H3" s="1">
        <v>6677</v>
      </c>
      <c r="I3" s="1">
        <v>88</v>
      </c>
      <c r="J3" s="1">
        <v>1480</v>
      </c>
      <c r="K3" s="1"/>
      <c r="L3" s="1">
        <v>9642</v>
      </c>
      <c r="M3" s="1">
        <f>B3+C3+D3+E3+F3+H3+I3+J3+K3+L3</f>
        <v>105097.39</v>
      </c>
      <c r="N3" s="8">
        <f>(C3+D3+E3+F3+H3+I3+J3+K3+L3)/M3*100</f>
        <v>62.432568496705763</v>
      </c>
    </row>
    <row r="4" spans="1:15" x14ac:dyDescent="0.25">
      <c r="A4" t="s">
        <v>1</v>
      </c>
      <c r="B4" s="1">
        <v>32497.9</v>
      </c>
      <c r="C4" s="1">
        <v>3040</v>
      </c>
      <c r="D4" s="1">
        <v>17040</v>
      </c>
      <c r="E4" s="1">
        <v>16410</v>
      </c>
      <c r="F4" s="1">
        <v>7510</v>
      </c>
      <c r="G4" s="1">
        <v>10193</v>
      </c>
      <c r="H4" s="1">
        <v>9014</v>
      </c>
      <c r="I4" s="1">
        <v>0</v>
      </c>
      <c r="J4" s="1">
        <v>1820</v>
      </c>
      <c r="K4" s="1"/>
      <c r="L4" s="1">
        <v>4243</v>
      </c>
      <c r="M4" s="1">
        <f t="shared" ref="M4:M14" si="0">B4+C4+D4+E4+F4+H4+I4+J4+K4+L4</f>
        <v>91574.9</v>
      </c>
      <c r="N4" s="8">
        <f t="shared" ref="N4:N14" si="1">(C4+D4+E4+F4+H4+I4+J4+K4+L4)/M4*100</f>
        <v>64.512218959562063</v>
      </c>
    </row>
    <row r="5" spans="1:15" x14ac:dyDescent="0.25">
      <c r="A5" t="s">
        <v>2</v>
      </c>
      <c r="B5" s="1">
        <v>34943.72</v>
      </c>
      <c r="C5" s="1">
        <v>1050</v>
      </c>
      <c r="D5" s="1">
        <v>14810</v>
      </c>
      <c r="E5" s="1">
        <v>15570</v>
      </c>
      <c r="F5" s="1">
        <v>7590</v>
      </c>
      <c r="G5" s="1">
        <v>920</v>
      </c>
      <c r="H5" s="1">
        <v>11733</v>
      </c>
      <c r="I5" s="1">
        <v>30</v>
      </c>
      <c r="J5" s="1">
        <v>540</v>
      </c>
      <c r="K5" s="1"/>
      <c r="L5" s="1">
        <v>5609</v>
      </c>
      <c r="M5" s="1">
        <f t="shared" si="0"/>
        <v>91875.72</v>
      </c>
      <c r="N5" s="8">
        <f t="shared" si="1"/>
        <v>61.966317107501311</v>
      </c>
    </row>
    <row r="6" spans="1:15" x14ac:dyDescent="0.25">
      <c r="A6" t="s">
        <v>3</v>
      </c>
      <c r="B6" s="1">
        <v>55455.62</v>
      </c>
      <c r="C6" s="1">
        <v>0</v>
      </c>
      <c r="D6" s="1">
        <v>17410</v>
      </c>
      <c r="E6" s="1">
        <v>17020</v>
      </c>
      <c r="F6" s="1">
        <v>8550</v>
      </c>
      <c r="G6" s="1"/>
      <c r="H6" s="1">
        <v>15279</v>
      </c>
      <c r="I6" s="1"/>
      <c r="J6" s="1">
        <v>150</v>
      </c>
      <c r="K6" s="1"/>
      <c r="L6" s="1">
        <v>46</v>
      </c>
      <c r="M6" s="1">
        <f t="shared" si="0"/>
        <v>113910.62</v>
      </c>
      <c r="N6" s="8">
        <f t="shared" si="1"/>
        <v>51.316549765070199</v>
      </c>
    </row>
    <row r="7" spans="1:15" x14ac:dyDescent="0.25">
      <c r="A7" t="s">
        <v>4</v>
      </c>
      <c r="B7" s="1">
        <v>34735.69</v>
      </c>
      <c r="C7" s="1">
        <v>7378</v>
      </c>
      <c r="D7" s="1">
        <v>17570</v>
      </c>
      <c r="E7" s="1">
        <v>18680</v>
      </c>
      <c r="F7" s="1">
        <v>7690</v>
      </c>
      <c r="G7" s="1">
        <v>16430</v>
      </c>
      <c r="H7" s="1">
        <v>19728</v>
      </c>
      <c r="I7" s="1">
        <v>627</v>
      </c>
      <c r="J7" s="1">
        <v>3310</v>
      </c>
      <c r="K7" s="1"/>
      <c r="L7" s="1">
        <v>24215</v>
      </c>
      <c r="M7" s="1">
        <f t="shared" si="0"/>
        <v>133933.69</v>
      </c>
      <c r="N7" s="8">
        <f t="shared" si="1"/>
        <v>74.065009334096601</v>
      </c>
    </row>
    <row r="8" spans="1:15" x14ac:dyDescent="0.25">
      <c r="A8" t="s">
        <v>5</v>
      </c>
      <c r="B8" s="1">
        <v>37158.57</v>
      </c>
      <c r="C8" s="1">
        <v>6959</v>
      </c>
      <c r="D8" s="1">
        <v>20100</v>
      </c>
      <c r="E8" s="1">
        <v>19095</v>
      </c>
      <c r="F8" s="1">
        <v>7270</v>
      </c>
      <c r="G8" s="1">
        <v>10380</v>
      </c>
      <c r="H8" s="1">
        <v>15671</v>
      </c>
      <c r="I8" s="1">
        <v>150</v>
      </c>
      <c r="J8" s="1">
        <v>4530</v>
      </c>
      <c r="K8" s="1"/>
      <c r="L8" s="1">
        <v>13832</v>
      </c>
      <c r="M8" s="1">
        <f t="shared" si="0"/>
        <v>124765.57</v>
      </c>
      <c r="N8" s="8">
        <f t="shared" si="1"/>
        <v>70.217288311190345</v>
      </c>
    </row>
    <row r="9" spans="1:15" x14ac:dyDescent="0.25">
      <c r="A9" t="s">
        <v>11</v>
      </c>
      <c r="B9" s="1">
        <v>50005.5</v>
      </c>
      <c r="C9" s="1">
        <v>3937</v>
      </c>
      <c r="D9" s="1">
        <v>23730</v>
      </c>
      <c r="E9" s="1">
        <v>23230</v>
      </c>
      <c r="F9" s="1">
        <v>10150</v>
      </c>
      <c r="G9" s="1">
        <v>15140</v>
      </c>
      <c r="H9" s="1">
        <v>15116</v>
      </c>
      <c r="I9" s="1">
        <v>233</v>
      </c>
      <c r="J9" s="1">
        <v>2853</v>
      </c>
      <c r="K9" s="1"/>
      <c r="L9" s="1">
        <v>11297</v>
      </c>
      <c r="M9" s="1">
        <f t="shared" si="0"/>
        <v>140551.5</v>
      </c>
      <c r="N9" s="8">
        <f t="shared" si="1"/>
        <v>64.421937866191399</v>
      </c>
    </row>
    <row r="10" spans="1:15" x14ac:dyDescent="0.25">
      <c r="A10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f t="shared" si="0"/>
        <v>0</v>
      </c>
      <c r="N10" s="8" t="e">
        <f t="shared" si="1"/>
        <v>#DIV/0!</v>
      </c>
    </row>
    <row r="11" spans="1:15" x14ac:dyDescent="0.25">
      <c r="A1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f t="shared" si="0"/>
        <v>0</v>
      </c>
      <c r="N11" s="8" t="e">
        <f t="shared" si="1"/>
        <v>#DIV/0!</v>
      </c>
    </row>
    <row r="12" spans="1:15" x14ac:dyDescent="0.25">
      <c r="A12" s="13" t="s">
        <v>14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>
        <f t="shared" si="0"/>
        <v>0</v>
      </c>
      <c r="N12" s="8" t="e">
        <f t="shared" si="1"/>
        <v>#DIV/0!</v>
      </c>
    </row>
    <row r="13" spans="1:15" x14ac:dyDescent="0.25">
      <c r="A13" s="13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>
        <f t="shared" si="0"/>
        <v>0</v>
      </c>
      <c r="N13" s="8" t="e">
        <f t="shared" si="1"/>
        <v>#DIV/0!</v>
      </c>
    </row>
    <row r="14" spans="1:15" x14ac:dyDescent="0.25">
      <c r="A14" s="13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>
        <f t="shared" si="0"/>
        <v>0</v>
      </c>
      <c r="N14" s="8" t="e">
        <f t="shared" si="1"/>
        <v>#DIV/0!</v>
      </c>
    </row>
    <row r="15" spans="1:15" x14ac:dyDescent="0.25">
      <c r="B15" s="1"/>
      <c r="C15" s="1"/>
      <c r="D15" s="1"/>
      <c r="E15" s="1"/>
      <c r="F15" s="1"/>
      <c r="G15" s="1">
        <f>SUM(G3:G14)</f>
        <v>62103</v>
      </c>
      <c r="H15" s="1"/>
      <c r="I15" s="1"/>
      <c r="J15" s="1"/>
      <c r="K15" s="1"/>
      <c r="L15" s="1"/>
      <c r="M15" s="1"/>
    </row>
    <row r="16" spans="1:15" ht="18.75" x14ac:dyDescent="0.3">
      <c r="A16" s="9" t="s">
        <v>20</v>
      </c>
      <c r="B16" s="2">
        <f>SUM(B3:B15)</f>
        <v>284279.39</v>
      </c>
      <c r="C16" s="2">
        <f t="shared" ref="C16:L16" si="2">SUM(C3:C15)</f>
        <v>26002</v>
      </c>
      <c r="D16" s="2">
        <f t="shared" si="2"/>
        <v>126990</v>
      </c>
      <c r="E16" s="2">
        <f t="shared" si="2"/>
        <v>127795</v>
      </c>
      <c r="F16" s="2">
        <f t="shared" si="2"/>
        <v>58730</v>
      </c>
      <c r="G16" s="2"/>
      <c r="H16" s="2">
        <f t="shared" si="2"/>
        <v>93218</v>
      </c>
      <c r="I16" s="2">
        <f>SUM(I3:I15)</f>
        <v>1128</v>
      </c>
      <c r="J16" s="2">
        <f>SUM(J3:J15)</f>
        <v>14683</v>
      </c>
      <c r="K16" s="2">
        <f>SUM(K7:K15)</f>
        <v>0</v>
      </c>
      <c r="L16" s="2">
        <f t="shared" si="2"/>
        <v>68884</v>
      </c>
      <c r="M16" s="15">
        <f>B16+C16+D16+E16+F16+G16+H16+I16+J16+K16+L16</f>
        <v>801709.39</v>
      </c>
      <c r="N16" s="3">
        <f>(C16+D16+E16+F16+G16+H16+I16+J16+K16+L16)/(M16)*100</f>
        <v>64.540843160138124</v>
      </c>
      <c r="O16" s="4"/>
    </row>
    <row r="17" spans="1:14" x14ac:dyDescent="0.25">
      <c r="A17" s="9" t="s">
        <v>27</v>
      </c>
      <c r="C17" s="1"/>
    </row>
    <row r="18" spans="1:14" x14ac:dyDescent="0.25">
      <c r="A18" s="9" t="s">
        <v>48</v>
      </c>
      <c r="B18" s="21">
        <v>3116</v>
      </c>
      <c r="C18" s="1"/>
      <c r="G18" s="19">
        <f>15*B18</f>
        <v>46740</v>
      </c>
    </row>
    <row r="20" spans="1:14" x14ac:dyDescent="0.25">
      <c r="A20" s="13" t="s">
        <v>25</v>
      </c>
    </row>
    <row r="21" spans="1:14" ht="18.75" x14ac:dyDescent="0.3">
      <c r="A21" s="10" t="s">
        <v>57</v>
      </c>
    </row>
    <row r="22" spans="1:14" ht="18.75" x14ac:dyDescent="0.3">
      <c r="A22" s="10" t="s">
        <v>49</v>
      </c>
      <c r="B22" s="15">
        <v>495405.65</v>
      </c>
      <c r="C22" s="15">
        <v>75928</v>
      </c>
      <c r="D22" s="15">
        <v>200665</v>
      </c>
      <c r="E22" s="15">
        <v>221320</v>
      </c>
      <c r="F22" s="15">
        <v>106570</v>
      </c>
      <c r="G22" s="15">
        <v>47235</v>
      </c>
      <c r="H22" s="15">
        <v>163435</v>
      </c>
      <c r="I22" s="15">
        <v>1654</v>
      </c>
      <c r="J22" s="15"/>
      <c r="K22" s="15">
        <v>54960</v>
      </c>
      <c r="L22" s="15">
        <v>92071</v>
      </c>
      <c r="M22" s="11">
        <f>B22+C22+D22+E22+F22+G22+H22+I22+J22+K22+L22</f>
        <v>1459243.65</v>
      </c>
      <c r="N22" s="17">
        <f>(C22+D22+E22+F22+G22+H22+I22+J22+K22+L22)/M22*100</f>
        <v>66.050518705358087</v>
      </c>
    </row>
    <row r="23" spans="1:14" ht="18.75" x14ac:dyDescent="0.3">
      <c r="A23" s="10" t="s">
        <v>44</v>
      </c>
      <c r="B23" s="11">
        <v>526104.36</v>
      </c>
      <c r="C23" s="11">
        <v>76379</v>
      </c>
      <c r="D23" s="11">
        <v>180132</v>
      </c>
      <c r="E23" s="11">
        <v>200070</v>
      </c>
      <c r="F23" s="11"/>
      <c r="G23" s="11"/>
      <c r="H23" s="11">
        <v>229534</v>
      </c>
      <c r="I23" s="11"/>
      <c r="J23" s="11"/>
      <c r="K23" s="11"/>
      <c r="L23" s="11">
        <v>111952</v>
      </c>
      <c r="M23" s="11">
        <f t="shared" ref="M23:M28" si="3">B23+C23+D23+E23+H23+L23</f>
        <v>1324171.3599999999</v>
      </c>
      <c r="N23" s="17">
        <f>(C23+D23+E23+H23+L23)/M23*100</f>
        <v>60.269163350580243</v>
      </c>
    </row>
    <row r="24" spans="1:14" ht="18.75" x14ac:dyDescent="0.3">
      <c r="A24" s="10" t="s">
        <v>17</v>
      </c>
      <c r="B24" s="11">
        <v>556850</v>
      </c>
      <c r="C24" s="11">
        <v>73365</v>
      </c>
      <c r="D24" s="11">
        <v>180175</v>
      </c>
      <c r="E24" s="11">
        <v>189700</v>
      </c>
      <c r="F24" s="11"/>
      <c r="G24" s="11"/>
      <c r="H24" s="11">
        <v>210647</v>
      </c>
      <c r="I24" s="11"/>
      <c r="J24" s="11"/>
      <c r="K24" s="11"/>
      <c r="L24" s="11">
        <v>102208</v>
      </c>
      <c r="M24" s="11">
        <f t="shared" si="3"/>
        <v>1312945</v>
      </c>
      <c r="N24" s="12">
        <f>(C24/2+D24+E24+H24+L24)/M24*100</f>
        <v>54.793803243852558</v>
      </c>
    </row>
    <row r="25" spans="1:14" ht="18.75" x14ac:dyDescent="0.3">
      <c r="A25" s="10" t="s">
        <v>18</v>
      </c>
      <c r="B25" s="11">
        <v>570850</v>
      </c>
      <c r="C25" s="11">
        <v>55530</v>
      </c>
      <c r="D25" s="11">
        <v>171827</v>
      </c>
      <c r="E25" s="11">
        <v>167490</v>
      </c>
      <c r="F25" s="11"/>
      <c r="G25" s="11"/>
      <c r="H25" s="11">
        <v>213119</v>
      </c>
      <c r="I25" s="11"/>
      <c r="J25" s="11"/>
      <c r="K25" s="11"/>
      <c r="L25" s="11">
        <v>103804</v>
      </c>
      <c r="M25" s="11">
        <f t="shared" si="3"/>
        <v>1282620</v>
      </c>
      <c r="N25" s="12">
        <f>(C25/2+D25+E25+H25+L25)/M25*100</f>
        <v>53.328733373875345</v>
      </c>
    </row>
    <row r="26" spans="1:14" ht="18.75" x14ac:dyDescent="0.3">
      <c r="A26" s="10" t="s">
        <v>19</v>
      </c>
      <c r="B26" s="11">
        <v>561180</v>
      </c>
      <c r="C26" s="11">
        <v>52035</v>
      </c>
      <c r="D26" s="11">
        <v>180118</v>
      </c>
      <c r="E26" s="11">
        <v>162435</v>
      </c>
      <c r="F26" s="11"/>
      <c r="G26" s="11"/>
      <c r="H26" s="11">
        <v>194238</v>
      </c>
      <c r="I26" s="11"/>
      <c r="J26" s="11"/>
      <c r="K26" s="11"/>
      <c r="L26" s="11">
        <v>112282</v>
      </c>
      <c r="M26" s="11">
        <f t="shared" si="3"/>
        <v>1262288</v>
      </c>
      <c r="N26" s="12">
        <f>(C26*0.55+D26+E26+H26+L26)/M26*100</f>
        <v>53.68760932528869</v>
      </c>
    </row>
    <row r="27" spans="1:14" ht="18.75" x14ac:dyDescent="0.3">
      <c r="A27" s="10" t="s">
        <v>21</v>
      </c>
      <c r="B27" s="11">
        <v>682970</v>
      </c>
      <c r="C27" s="11">
        <v>45790</v>
      </c>
      <c r="D27" s="11">
        <v>179794</v>
      </c>
      <c r="E27" s="11">
        <v>159450</v>
      </c>
      <c r="F27" s="11"/>
      <c r="G27" s="11"/>
      <c r="H27" s="11">
        <v>137596</v>
      </c>
      <c r="I27" s="11"/>
      <c r="J27" s="11"/>
      <c r="K27" s="11"/>
      <c r="L27" s="11">
        <v>112115</v>
      </c>
      <c r="M27" s="11">
        <f t="shared" si="3"/>
        <v>1317715</v>
      </c>
      <c r="N27" s="12">
        <f>(C27*0.4+D27+E27+H27+L27)/M27*100</f>
        <v>46.085154984196123</v>
      </c>
    </row>
    <row r="28" spans="1:14" ht="18.75" x14ac:dyDescent="0.3">
      <c r="A28" s="10" t="s">
        <v>22</v>
      </c>
      <c r="B28" s="11">
        <v>938590</v>
      </c>
      <c r="C28" s="11">
        <v>33283</v>
      </c>
      <c r="D28" s="11">
        <v>143778</v>
      </c>
      <c r="E28" s="11">
        <v>165230</v>
      </c>
      <c r="F28" s="11"/>
      <c r="G28" s="11"/>
      <c r="H28" s="11">
        <v>82955</v>
      </c>
      <c r="I28" s="11"/>
      <c r="J28" s="11"/>
      <c r="K28" s="11"/>
      <c r="L28" s="11">
        <v>126682</v>
      </c>
      <c r="M28" s="11">
        <f t="shared" si="3"/>
        <v>1490518</v>
      </c>
      <c r="N28" s="12">
        <f>(C28*0.413+D28+E28+H28+L28)/M28*100</f>
        <v>35.718513899194775</v>
      </c>
    </row>
    <row r="30" spans="1:14" ht="18.75" x14ac:dyDescent="0.3">
      <c r="A30" s="5" t="s">
        <v>28</v>
      </c>
    </row>
    <row r="33" spans="1:14" x14ac:dyDescent="0.25">
      <c r="A33" t="s">
        <v>36</v>
      </c>
      <c r="B33" s="7" t="s">
        <v>26</v>
      </c>
      <c r="C33" s="6" t="s">
        <v>6</v>
      </c>
      <c r="D33" s="6" t="s">
        <v>31</v>
      </c>
      <c r="E33" t="s">
        <v>32</v>
      </c>
      <c r="F33" t="s">
        <v>35</v>
      </c>
      <c r="G33" t="s">
        <v>46</v>
      </c>
      <c r="H33" s="6" t="s">
        <v>38</v>
      </c>
      <c r="I33" s="18" t="s">
        <v>39</v>
      </c>
      <c r="J33" s="18" t="s">
        <v>40</v>
      </c>
      <c r="K33" s="18" t="s">
        <v>45</v>
      </c>
      <c r="L33" s="18" t="s">
        <v>41</v>
      </c>
      <c r="M33" s="18" t="s">
        <v>42</v>
      </c>
      <c r="N33" s="6" t="s">
        <v>9</v>
      </c>
    </row>
    <row r="34" spans="1:14" x14ac:dyDescent="0.25">
      <c r="A34" t="s">
        <v>0</v>
      </c>
      <c r="B34" s="1">
        <f t="shared" ref="B34:B45" si="4">B3*0.28985</f>
        <v>11443.970741499999</v>
      </c>
      <c r="C34" s="1">
        <f t="shared" ref="C34:C45" si="5">C3*0.253</f>
        <v>920.41399999999999</v>
      </c>
      <c r="D34" s="1">
        <f t="shared" ref="D34:D45" si="6">F3*0.089859</f>
        <v>895.89422999999999</v>
      </c>
      <c r="E34" s="1">
        <f t="shared" ref="E34:E45" si="7">H3*0.070268</f>
        <v>469.17943599999995</v>
      </c>
      <c r="F34" s="1">
        <f t="shared" ref="F34:F45" si="8">J3*0.094336</f>
        <v>139.61727999999999</v>
      </c>
      <c r="G34" s="1">
        <f t="shared" ref="G34:G45" si="9">K3*0.172425</f>
        <v>0</v>
      </c>
      <c r="H34" s="1">
        <f t="shared" ref="H34:H45" si="10">I3*0.214269</f>
        <v>18.855671999999998</v>
      </c>
      <c r="I34" s="22">
        <v>1668.0509999999999</v>
      </c>
      <c r="J34" s="1">
        <v>2647.04</v>
      </c>
      <c r="K34" s="22">
        <v>798.96299999999997</v>
      </c>
      <c r="L34" s="22">
        <v>2234.3969999999999</v>
      </c>
      <c r="M34" s="22">
        <v>1340.636</v>
      </c>
      <c r="N34" s="1">
        <f>B34+C34+D34+E34+F34+G34+H34+I34+J34+K34+L34+M34</f>
        <v>22577.018359499998</v>
      </c>
    </row>
    <row r="35" spans="1:14" x14ac:dyDescent="0.25">
      <c r="A35" t="s">
        <v>1</v>
      </c>
      <c r="B35" s="1">
        <f t="shared" si="4"/>
        <v>9419.5163150000008</v>
      </c>
      <c r="C35" s="1">
        <f t="shared" si="5"/>
        <v>769.12</v>
      </c>
      <c r="D35" s="1">
        <f t="shared" si="6"/>
        <v>674.84109000000001</v>
      </c>
      <c r="E35" s="1">
        <f t="shared" si="7"/>
        <v>633.39575200000002</v>
      </c>
      <c r="F35" s="1">
        <f t="shared" si="8"/>
        <v>171.69152</v>
      </c>
      <c r="G35" s="1">
        <f t="shared" si="9"/>
        <v>0</v>
      </c>
      <c r="H35" s="1">
        <f t="shared" si="10"/>
        <v>0</v>
      </c>
      <c r="I35" s="22">
        <v>1668.0509999999999</v>
      </c>
      <c r="J35" s="1">
        <v>2647.04</v>
      </c>
      <c r="K35" s="22">
        <v>798.96299999999997</v>
      </c>
      <c r="L35" s="22">
        <v>2234.3969999999999</v>
      </c>
      <c r="M35" s="22">
        <v>1340.636</v>
      </c>
      <c r="N35" s="1">
        <f t="shared" ref="N35:N47" si="11">B35+C35+D35+E35+F35+G35+H35+I35+J35+K35+L35+M35</f>
        <v>20357.651677000002</v>
      </c>
    </row>
    <row r="36" spans="1:14" x14ac:dyDescent="0.25">
      <c r="A36" t="s">
        <v>2</v>
      </c>
      <c r="B36" s="1">
        <f t="shared" si="4"/>
        <v>10128.437242</v>
      </c>
      <c r="C36" s="1">
        <f t="shared" si="5"/>
        <v>265.64999999999998</v>
      </c>
      <c r="D36" s="1">
        <f t="shared" si="6"/>
        <v>682.02981</v>
      </c>
      <c r="E36" s="1">
        <f t="shared" si="7"/>
        <v>824.45444399999997</v>
      </c>
      <c r="F36" s="1">
        <f t="shared" si="8"/>
        <v>50.94144</v>
      </c>
      <c r="G36" s="1">
        <f t="shared" si="9"/>
        <v>0</v>
      </c>
      <c r="H36" s="1">
        <f t="shared" si="10"/>
        <v>6.42807</v>
      </c>
      <c r="I36" s="22">
        <v>1668.0509999999999</v>
      </c>
      <c r="J36" s="1">
        <v>2647.04</v>
      </c>
      <c r="K36" s="22">
        <v>798.96299999999997</v>
      </c>
      <c r="L36" s="22">
        <v>2234.3969999999999</v>
      </c>
      <c r="M36" s="22">
        <v>1340.636</v>
      </c>
      <c r="N36" s="1">
        <f t="shared" si="11"/>
        <v>20647.028006</v>
      </c>
    </row>
    <row r="37" spans="1:14" x14ac:dyDescent="0.25">
      <c r="A37" t="s">
        <v>3</v>
      </c>
      <c r="B37" s="1">
        <f t="shared" si="4"/>
        <v>16073.811457</v>
      </c>
      <c r="C37" s="1">
        <f t="shared" si="5"/>
        <v>0</v>
      </c>
      <c r="D37" s="1">
        <f t="shared" si="6"/>
        <v>768.29444999999998</v>
      </c>
      <c r="E37" s="1">
        <f t="shared" si="7"/>
        <v>1073.6247719999999</v>
      </c>
      <c r="F37" s="1">
        <f t="shared" si="8"/>
        <v>14.150400000000001</v>
      </c>
      <c r="G37" s="1">
        <f t="shared" si="9"/>
        <v>0</v>
      </c>
      <c r="H37" s="1">
        <f t="shared" si="10"/>
        <v>0</v>
      </c>
      <c r="I37" s="22">
        <v>1668.0509999999999</v>
      </c>
      <c r="J37" s="1">
        <v>2647.04</v>
      </c>
      <c r="K37" s="22">
        <v>798.96299999999997</v>
      </c>
      <c r="L37" s="22">
        <v>2234.3969999999999</v>
      </c>
      <c r="M37" s="22">
        <v>1340.636</v>
      </c>
      <c r="N37" s="1">
        <f t="shared" si="11"/>
        <v>26618.968078999998</v>
      </c>
    </row>
    <row r="38" spans="1:14" x14ac:dyDescent="0.25">
      <c r="A38" t="s">
        <v>4</v>
      </c>
      <c r="B38" s="1">
        <f t="shared" si="4"/>
        <v>10068.139746500001</v>
      </c>
      <c r="C38" s="1">
        <f t="shared" si="5"/>
        <v>1866.634</v>
      </c>
      <c r="D38" s="1">
        <f t="shared" si="6"/>
        <v>691.01571000000001</v>
      </c>
      <c r="E38" s="1">
        <f t="shared" si="7"/>
        <v>1386.247104</v>
      </c>
      <c r="F38" s="1">
        <f t="shared" si="8"/>
        <v>312.25216</v>
      </c>
      <c r="G38" s="1">
        <f t="shared" si="9"/>
        <v>0</v>
      </c>
      <c r="H38" s="1">
        <f t="shared" si="10"/>
        <v>134.34666299999998</v>
      </c>
      <c r="I38" s="22">
        <v>1668.0509999999999</v>
      </c>
      <c r="J38" s="1">
        <v>2647.04</v>
      </c>
      <c r="K38" s="22">
        <v>798.96299999999997</v>
      </c>
      <c r="L38" s="22">
        <v>2234.3969999999999</v>
      </c>
      <c r="M38" s="22">
        <v>1340.636</v>
      </c>
      <c r="N38" s="1">
        <f t="shared" si="11"/>
        <v>23147.7223835</v>
      </c>
    </row>
    <row r="39" spans="1:14" x14ac:dyDescent="0.25">
      <c r="A39" t="s">
        <v>5</v>
      </c>
      <c r="B39" s="1">
        <f t="shared" si="4"/>
        <v>10770.4115145</v>
      </c>
      <c r="C39" s="1">
        <f t="shared" si="5"/>
        <v>1760.627</v>
      </c>
      <c r="D39" s="1">
        <f t="shared" si="6"/>
        <v>653.27492999999993</v>
      </c>
      <c r="E39" s="1">
        <f t="shared" si="7"/>
        <v>1101.1698280000001</v>
      </c>
      <c r="F39" s="1">
        <f t="shared" si="8"/>
        <v>427.34208000000001</v>
      </c>
      <c r="G39" s="1">
        <f t="shared" si="9"/>
        <v>0</v>
      </c>
      <c r="H39" s="1">
        <f t="shared" si="10"/>
        <v>32.140349999999998</v>
      </c>
      <c r="I39" s="22">
        <v>1668.0509999999999</v>
      </c>
      <c r="J39" s="1">
        <v>2647.04</v>
      </c>
      <c r="K39" s="22">
        <v>798.96299999999997</v>
      </c>
      <c r="L39" s="22">
        <v>2234.3969999999999</v>
      </c>
      <c r="M39" s="22">
        <v>1340.636</v>
      </c>
      <c r="N39" s="1">
        <f t="shared" si="11"/>
        <v>23434.052702500001</v>
      </c>
    </row>
    <row r="40" spans="1:14" x14ac:dyDescent="0.25">
      <c r="A40" t="s">
        <v>11</v>
      </c>
      <c r="B40" s="1">
        <f t="shared" si="4"/>
        <v>14494.094175</v>
      </c>
      <c r="C40" s="1">
        <f t="shared" si="5"/>
        <v>996.06100000000004</v>
      </c>
      <c r="D40" s="1">
        <f t="shared" si="6"/>
        <v>912.06885</v>
      </c>
      <c r="E40" s="1">
        <f t="shared" si="7"/>
        <v>1062.1710880000001</v>
      </c>
      <c r="F40" s="1">
        <f t="shared" si="8"/>
        <v>269.14060799999999</v>
      </c>
      <c r="G40" s="1">
        <f t="shared" si="9"/>
        <v>0</v>
      </c>
      <c r="H40" s="1">
        <f t="shared" si="10"/>
        <v>49.924676999999996</v>
      </c>
      <c r="I40" s="22">
        <v>1668.0509999999999</v>
      </c>
      <c r="J40" s="1">
        <v>2647.04</v>
      </c>
      <c r="K40" s="22">
        <v>798.96299999999997</v>
      </c>
      <c r="L40" s="22">
        <v>2234.3969999999999</v>
      </c>
      <c r="M40" s="22">
        <v>1340.636</v>
      </c>
      <c r="N40" s="1">
        <f t="shared" si="11"/>
        <v>26472.547397999999</v>
      </c>
    </row>
    <row r="41" spans="1:14" x14ac:dyDescent="0.25">
      <c r="A41" t="s">
        <v>12</v>
      </c>
      <c r="B41" s="1">
        <f t="shared" si="4"/>
        <v>0</v>
      </c>
      <c r="C41" s="1">
        <f t="shared" si="5"/>
        <v>0</v>
      </c>
      <c r="D41" s="1">
        <f t="shared" si="6"/>
        <v>0</v>
      </c>
      <c r="E41" s="1">
        <f t="shared" si="7"/>
        <v>0</v>
      </c>
      <c r="F41" s="1">
        <f t="shared" si="8"/>
        <v>0</v>
      </c>
      <c r="G41" s="1">
        <f t="shared" si="9"/>
        <v>0</v>
      </c>
      <c r="H41" s="1">
        <f t="shared" si="10"/>
        <v>0</v>
      </c>
      <c r="I41" s="22">
        <v>1668.0509999999999</v>
      </c>
      <c r="J41" s="1">
        <v>2647.04</v>
      </c>
      <c r="K41" s="22">
        <v>798.96299999999997</v>
      </c>
      <c r="L41" s="22">
        <v>2234.3969999999999</v>
      </c>
      <c r="M41" s="22">
        <v>1340.636</v>
      </c>
      <c r="N41" s="1">
        <f t="shared" si="11"/>
        <v>8689.0869999999995</v>
      </c>
    </row>
    <row r="42" spans="1:14" x14ac:dyDescent="0.25">
      <c r="A42" t="s">
        <v>13</v>
      </c>
      <c r="B42" s="1">
        <f t="shared" si="4"/>
        <v>0</v>
      </c>
      <c r="C42" s="1">
        <f t="shared" si="5"/>
        <v>0</v>
      </c>
      <c r="D42" s="1">
        <f t="shared" si="6"/>
        <v>0</v>
      </c>
      <c r="E42" s="1">
        <f t="shared" si="7"/>
        <v>0</v>
      </c>
      <c r="F42" s="1">
        <f t="shared" si="8"/>
        <v>0</v>
      </c>
      <c r="G42" s="1">
        <f t="shared" si="9"/>
        <v>0</v>
      </c>
      <c r="H42" s="1">
        <f t="shared" si="10"/>
        <v>0</v>
      </c>
      <c r="I42" s="22">
        <v>1668.0509999999999</v>
      </c>
      <c r="J42" s="1">
        <v>2647.04</v>
      </c>
      <c r="K42" s="22">
        <v>798.96299999999997</v>
      </c>
      <c r="L42" s="22">
        <v>2234.3969999999999</v>
      </c>
      <c r="M42" s="22">
        <v>1340.636</v>
      </c>
      <c r="N42" s="1">
        <f t="shared" si="11"/>
        <v>8689.0869999999995</v>
      </c>
    </row>
    <row r="43" spans="1:14" x14ac:dyDescent="0.25">
      <c r="A43" t="s">
        <v>14</v>
      </c>
      <c r="B43" s="1">
        <f t="shared" si="4"/>
        <v>0</v>
      </c>
      <c r="C43" s="1">
        <f t="shared" si="5"/>
        <v>0</v>
      </c>
      <c r="D43" s="1">
        <f t="shared" si="6"/>
        <v>0</v>
      </c>
      <c r="E43" s="1">
        <f t="shared" si="7"/>
        <v>0</v>
      </c>
      <c r="F43" s="1">
        <f t="shared" si="8"/>
        <v>0</v>
      </c>
      <c r="G43" s="1">
        <f t="shared" si="9"/>
        <v>0</v>
      </c>
      <c r="H43" s="1">
        <f t="shared" si="10"/>
        <v>0</v>
      </c>
      <c r="I43" s="22">
        <v>1668.0509999999999</v>
      </c>
      <c r="J43" s="1">
        <v>2647.04</v>
      </c>
      <c r="K43" s="22">
        <v>798.96299999999997</v>
      </c>
      <c r="L43" s="22">
        <v>2234.3969999999999</v>
      </c>
      <c r="M43" s="22">
        <v>1340.636</v>
      </c>
      <c r="N43" s="1">
        <f t="shared" si="11"/>
        <v>8689.0869999999995</v>
      </c>
    </row>
    <row r="44" spans="1:14" x14ac:dyDescent="0.25">
      <c r="A44" t="s">
        <v>15</v>
      </c>
      <c r="B44" s="1">
        <f t="shared" si="4"/>
        <v>0</v>
      </c>
      <c r="C44" s="1">
        <f t="shared" si="5"/>
        <v>0</v>
      </c>
      <c r="D44" s="1">
        <f t="shared" si="6"/>
        <v>0</v>
      </c>
      <c r="E44" s="1">
        <f t="shared" si="7"/>
        <v>0</v>
      </c>
      <c r="F44" s="1">
        <f t="shared" si="8"/>
        <v>0</v>
      </c>
      <c r="G44" s="1">
        <f t="shared" si="9"/>
        <v>0</v>
      </c>
      <c r="H44" s="1">
        <f t="shared" si="10"/>
        <v>0</v>
      </c>
      <c r="I44" s="22">
        <v>1668.0509999999999</v>
      </c>
      <c r="J44" s="1">
        <v>2647.04</v>
      </c>
      <c r="K44" s="22">
        <v>798.96299999999997</v>
      </c>
      <c r="L44" s="22">
        <v>2234.3969999999999</v>
      </c>
      <c r="M44" s="22">
        <v>1340.636</v>
      </c>
      <c r="N44" s="1">
        <f t="shared" si="11"/>
        <v>8689.0869999999995</v>
      </c>
    </row>
    <row r="45" spans="1:14" x14ac:dyDescent="0.25">
      <c r="A45" t="s">
        <v>16</v>
      </c>
      <c r="B45" s="1">
        <f t="shared" si="4"/>
        <v>0</v>
      </c>
      <c r="C45" s="1">
        <f t="shared" si="5"/>
        <v>0</v>
      </c>
      <c r="D45" s="1">
        <f t="shared" si="6"/>
        <v>0</v>
      </c>
      <c r="E45" s="1">
        <f t="shared" si="7"/>
        <v>0</v>
      </c>
      <c r="F45" s="1">
        <f t="shared" si="8"/>
        <v>0</v>
      </c>
      <c r="G45" s="1">
        <f t="shared" si="9"/>
        <v>0</v>
      </c>
      <c r="H45" s="1">
        <f t="shared" si="10"/>
        <v>0</v>
      </c>
      <c r="I45" s="22">
        <v>1668.0509999999999</v>
      </c>
      <c r="J45" s="1">
        <v>2647.04</v>
      </c>
      <c r="K45" s="22">
        <v>798.96299999999997</v>
      </c>
      <c r="L45" s="22">
        <v>2234.3969999999999</v>
      </c>
      <c r="M45" s="22">
        <v>1340.636</v>
      </c>
      <c r="N45" s="1">
        <f t="shared" si="11"/>
        <v>8689.0869999999995</v>
      </c>
    </row>
    <row r="46" spans="1:14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4" ht="18.75" x14ac:dyDescent="0.3">
      <c r="A47" s="9" t="s">
        <v>37</v>
      </c>
      <c r="B47" s="2">
        <f>SUM(B34:B46)</f>
        <v>82398.381191500011</v>
      </c>
      <c r="C47" s="2">
        <f t="shared" ref="C47:F47" si="12">SUM(C34:C46)</f>
        <v>6578.5059999999994</v>
      </c>
      <c r="D47" s="2">
        <f t="shared" si="12"/>
        <v>5277.419069999999</v>
      </c>
      <c r="E47" s="2">
        <f t="shared" si="12"/>
        <v>6550.242424</v>
      </c>
      <c r="F47" s="2">
        <f t="shared" si="12"/>
        <v>1385.1354880000001</v>
      </c>
      <c r="G47" s="2">
        <f>SUM(G34:G46)</f>
        <v>0</v>
      </c>
      <c r="H47" s="2">
        <f t="shared" ref="H47:M47" si="13">SUM(H34:H46)</f>
        <v>241.69543199999995</v>
      </c>
      <c r="I47" s="2">
        <f t="shared" si="13"/>
        <v>20016.611999999997</v>
      </c>
      <c r="J47" s="2">
        <f t="shared" si="13"/>
        <v>31764.480000000007</v>
      </c>
      <c r="K47" s="2">
        <f t="shared" si="13"/>
        <v>9587.5559999999987</v>
      </c>
      <c r="L47" s="2">
        <f t="shared" si="13"/>
        <v>26812.764000000006</v>
      </c>
      <c r="M47" s="2">
        <f t="shared" si="13"/>
        <v>16087.632000000003</v>
      </c>
      <c r="N47" s="1">
        <f t="shared" si="11"/>
        <v>206700.42360550002</v>
      </c>
    </row>
    <row r="50" spans="12:14" x14ac:dyDescent="0.25">
      <c r="M50" t="s">
        <v>43</v>
      </c>
      <c r="N50" s="19">
        <f>SUM(N34:N45)</f>
        <v>206700.42360549999</v>
      </c>
    </row>
    <row r="52" spans="12:14" x14ac:dyDescent="0.25">
      <c r="L52" t="s">
        <v>50</v>
      </c>
      <c r="N52" s="19">
        <f>G15*0.030503</f>
        <v>1894.3278089999999</v>
      </c>
    </row>
    <row r="53" spans="12:14" x14ac:dyDescent="0.25">
      <c r="L53" t="s">
        <v>51</v>
      </c>
      <c r="N53" s="1">
        <v>1254</v>
      </c>
    </row>
    <row r="55" spans="12:14" ht="18.75" x14ac:dyDescent="0.3">
      <c r="L55" t="s">
        <v>9</v>
      </c>
      <c r="N55" s="26">
        <f>SUM(N50:N54)</f>
        <v>209848.7514145</v>
      </c>
    </row>
    <row r="57" spans="12:14" ht="28.5" x14ac:dyDescent="0.45">
      <c r="L57" t="s">
        <v>56</v>
      </c>
      <c r="N57" s="25"/>
    </row>
  </sheetData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selection activeCell="B3" sqref="B3"/>
    </sheetView>
  </sheetViews>
  <sheetFormatPr defaultRowHeight="15" x14ac:dyDescent="0.25"/>
  <cols>
    <col min="1" max="1" width="28.140625" customWidth="1"/>
    <col min="2" max="2" width="15.85546875" customWidth="1"/>
    <col min="3" max="3" width="14.7109375" customWidth="1"/>
    <col min="4" max="4" width="16.28515625" customWidth="1"/>
    <col min="5" max="5" width="16.42578125" customWidth="1"/>
    <col min="6" max="6" width="12.28515625" customWidth="1"/>
    <col min="7" max="7" width="16.42578125" customWidth="1"/>
    <col min="8" max="8" width="15.28515625" customWidth="1"/>
    <col min="9" max="9" width="14.28515625" customWidth="1"/>
    <col min="10" max="10" width="17" customWidth="1"/>
    <col min="11" max="11" width="21.5703125" customWidth="1"/>
    <col min="12" max="12" width="23.7109375" customWidth="1"/>
  </cols>
  <sheetData>
    <row r="1" spans="1:13" x14ac:dyDescent="0.25">
      <c r="B1" t="s">
        <v>24</v>
      </c>
      <c r="C1" t="s">
        <v>24</v>
      </c>
      <c r="D1" t="s">
        <v>24</v>
      </c>
      <c r="E1" t="s">
        <v>24</v>
      </c>
      <c r="F1" t="s">
        <v>33</v>
      </c>
      <c r="G1" t="s">
        <v>24</v>
      </c>
      <c r="J1" t="s">
        <v>24</v>
      </c>
      <c r="L1" s="14" t="s">
        <v>29</v>
      </c>
    </row>
    <row r="2" spans="1:13" x14ac:dyDescent="0.25">
      <c r="A2" t="s">
        <v>30</v>
      </c>
      <c r="B2" s="7" t="s">
        <v>26</v>
      </c>
      <c r="C2" s="6" t="s">
        <v>6</v>
      </c>
      <c r="D2" s="6" t="s">
        <v>7</v>
      </c>
      <c r="E2" t="s">
        <v>8</v>
      </c>
      <c r="F2" t="s">
        <v>31</v>
      </c>
      <c r="G2" s="6" t="s">
        <v>32</v>
      </c>
      <c r="H2" s="6" t="s">
        <v>34</v>
      </c>
      <c r="I2" s="6" t="s">
        <v>35</v>
      </c>
      <c r="J2" s="6" t="s">
        <v>23</v>
      </c>
      <c r="K2" s="6" t="s">
        <v>9</v>
      </c>
      <c r="L2" s="6" t="s">
        <v>10</v>
      </c>
    </row>
    <row r="3" spans="1:13" x14ac:dyDescent="0.25">
      <c r="A3" t="s">
        <v>0</v>
      </c>
      <c r="B3" s="1">
        <v>38780.47</v>
      </c>
      <c r="C3" s="1">
        <v>9600</v>
      </c>
      <c r="D3" s="1">
        <v>13974</v>
      </c>
      <c r="E3" s="1">
        <v>15060</v>
      </c>
      <c r="F3" s="1"/>
      <c r="G3" s="1">
        <v>8938</v>
      </c>
      <c r="H3" s="1"/>
      <c r="I3" s="1"/>
      <c r="J3" s="1">
        <v>8036</v>
      </c>
      <c r="K3" s="1">
        <f>B3+C3+D3+E3+G3+J3</f>
        <v>94388.47</v>
      </c>
      <c r="L3" s="8">
        <f>(C3+D3+E3+G3+J3)/K3*100</f>
        <v>58.913975403987372</v>
      </c>
    </row>
    <row r="4" spans="1:13" x14ac:dyDescent="0.25">
      <c r="A4" t="s">
        <v>1</v>
      </c>
      <c r="B4" s="1"/>
      <c r="C4" s="1"/>
      <c r="D4" s="1"/>
      <c r="E4" s="1"/>
      <c r="F4" s="1"/>
      <c r="G4" s="1"/>
      <c r="H4" s="1"/>
      <c r="I4" s="1"/>
      <c r="J4" s="1"/>
      <c r="K4" s="1">
        <f>B4+C4+D4+E4+G4+J4</f>
        <v>0</v>
      </c>
      <c r="L4" s="8" t="e">
        <f t="shared" ref="L4:L14" si="0">(C4+D4+E4+G4+J4)/K4*100</f>
        <v>#DIV/0!</v>
      </c>
    </row>
    <row r="5" spans="1:13" x14ac:dyDescent="0.25">
      <c r="A5" t="s">
        <v>2</v>
      </c>
      <c r="B5" s="1"/>
      <c r="C5" s="1"/>
      <c r="D5" s="1"/>
      <c r="E5" s="1"/>
      <c r="F5" s="1"/>
      <c r="G5" s="1"/>
      <c r="H5" s="1"/>
      <c r="I5" s="1"/>
      <c r="J5" s="1"/>
      <c r="K5" s="1">
        <f t="shared" ref="K5:K16" si="1">B5+C5+D5+E5+G5+J5</f>
        <v>0</v>
      </c>
      <c r="L5" s="8" t="e">
        <f t="shared" si="0"/>
        <v>#DIV/0!</v>
      </c>
    </row>
    <row r="6" spans="1:13" x14ac:dyDescent="0.25">
      <c r="A6" t="s">
        <v>3</v>
      </c>
      <c r="B6" s="1"/>
      <c r="C6" s="1"/>
      <c r="D6" s="1"/>
      <c r="E6" s="1"/>
      <c r="F6" s="1"/>
      <c r="G6" s="1"/>
      <c r="H6" s="1"/>
      <c r="I6" s="1"/>
      <c r="J6" s="1"/>
      <c r="K6" s="1">
        <f t="shared" si="1"/>
        <v>0</v>
      </c>
      <c r="L6" s="8" t="e">
        <f t="shared" si="0"/>
        <v>#DIV/0!</v>
      </c>
    </row>
    <row r="7" spans="1:13" x14ac:dyDescent="0.25">
      <c r="A7" t="s">
        <v>4</v>
      </c>
      <c r="B7" s="1"/>
      <c r="C7" s="1"/>
      <c r="D7" s="1"/>
      <c r="E7" s="1"/>
      <c r="F7" s="1"/>
      <c r="G7" s="1"/>
      <c r="H7" s="1"/>
      <c r="I7" s="1"/>
      <c r="J7" s="1"/>
      <c r="K7" s="1">
        <f t="shared" si="1"/>
        <v>0</v>
      </c>
      <c r="L7" s="8" t="e">
        <f t="shared" si="0"/>
        <v>#DIV/0!</v>
      </c>
    </row>
    <row r="8" spans="1:13" x14ac:dyDescent="0.25">
      <c r="A8" t="s">
        <v>5</v>
      </c>
      <c r="B8" s="1"/>
      <c r="C8" s="1"/>
      <c r="D8" s="1"/>
      <c r="E8" s="1"/>
      <c r="F8" s="1"/>
      <c r="G8" s="1"/>
      <c r="H8" s="1"/>
      <c r="I8" s="1"/>
      <c r="J8" s="1"/>
      <c r="K8" s="1">
        <f t="shared" si="1"/>
        <v>0</v>
      </c>
      <c r="L8" s="8" t="e">
        <f t="shared" si="0"/>
        <v>#DIV/0!</v>
      </c>
    </row>
    <row r="9" spans="1:13" x14ac:dyDescent="0.25">
      <c r="A9" t="s">
        <v>11</v>
      </c>
      <c r="B9" s="1"/>
      <c r="C9" s="1"/>
      <c r="D9" s="1"/>
      <c r="E9" s="1"/>
      <c r="F9" s="1"/>
      <c r="G9" s="1"/>
      <c r="H9" s="1"/>
      <c r="I9" s="1"/>
      <c r="J9" s="1"/>
      <c r="K9" s="1">
        <f t="shared" si="1"/>
        <v>0</v>
      </c>
      <c r="L9" s="8" t="e">
        <f t="shared" si="0"/>
        <v>#DIV/0!</v>
      </c>
    </row>
    <row r="10" spans="1:13" x14ac:dyDescent="0.25">
      <c r="A10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1">
        <f t="shared" si="1"/>
        <v>0</v>
      </c>
      <c r="L10" s="8" t="e">
        <f t="shared" si="0"/>
        <v>#DIV/0!</v>
      </c>
    </row>
    <row r="11" spans="1:13" x14ac:dyDescent="0.25">
      <c r="A1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>
        <f t="shared" si="1"/>
        <v>0</v>
      </c>
      <c r="L11" s="8" t="e">
        <f t="shared" si="0"/>
        <v>#DIV/0!</v>
      </c>
    </row>
    <row r="12" spans="1:13" x14ac:dyDescent="0.25">
      <c r="A12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>
        <f t="shared" si="1"/>
        <v>0</v>
      </c>
      <c r="L12" s="8" t="e">
        <f t="shared" si="0"/>
        <v>#DIV/0!</v>
      </c>
    </row>
    <row r="13" spans="1:13" x14ac:dyDescent="0.25">
      <c r="A13" t="s">
        <v>15</v>
      </c>
      <c r="B13" s="1"/>
      <c r="C13" s="1"/>
      <c r="D13" s="1"/>
      <c r="E13" s="1"/>
      <c r="F13" s="1"/>
      <c r="G13" s="1"/>
      <c r="H13" s="1"/>
      <c r="I13" s="1"/>
      <c r="J13" s="1"/>
      <c r="K13" s="1">
        <f t="shared" si="1"/>
        <v>0</v>
      </c>
      <c r="L13" s="8" t="e">
        <f t="shared" si="0"/>
        <v>#DIV/0!</v>
      </c>
    </row>
    <row r="14" spans="1:13" x14ac:dyDescent="0.25">
      <c r="A14" t="s">
        <v>16</v>
      </c>
      <c r="B14" s="1"/>
      <c r="C14" s="1"/>
      <c r="D14" s="1"/>
      <c r="E14" s="1"/>
      <c r="F14" s="1"/>
      <c r="G14" s="1"/>
      <c r="H14" s="1"/>
      <c r="I14" s="1"/>
      <c r="J14" s="1"/>
      <c r="K14" s="1">
        <f t="shared" si="1"/>
        <v>0</v>
      </c>
      <c r="L14" s="8" t="e">
        <f t="shared" si="0"/>
        <v>#DIV/0!</v>
      </c>
    </row>
    <row r="15" spans="1:13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3" ht="18.75" x14ac:dyDescent="0.3">
      <c r="A16" s="9" t="s">
        <v>20</v>
      </c>
      <c r="B16" s="2">
        <f>SUM(B3:B15)</f>
        <v>38780.47</v>
      </c>
      <c r="C16" s="2">
        <f t="shared" ref="C16:J16" si="2">SUM(C3:C15)</f>
        <v>9600</v>
      </c>
      <c r="D16" s="2">
        <f t="shared" si="2"/>
        <v>13974</v>
      </c>
      <c r="E16" s="2">
        <f t="shared" si="2"/>
        <v>15060</v>
      </c>
      <c r="F16" s="2"/>
      <c r="G16" s="2">
        <f t="shared" si="2"/>
        <v>8938</v>
      </c>
      <c r="H16" s="2"/>
      <c r="I16" s="2"/>
      <c r="J16" s="2">
        <f t="shared" si="2"/>
        <v>8036</v>
      </c>
      <c r="K16" s="15">
        <f t="shared" si="1"/>
        <v>94388.47</v>
      </c>
      <c r="L16" s="3">
        <f>(C16+D16+E16+G16+J16)/K16*100</f>
        <v>58.913975403987372</v>
      </c>
      <c r="M16" s="4"/>
    </row>
    <row r="17" spans="1:12" x14ac:dyDescent="0.25">
      <c r="A17" s="9" t="s">
        <v>27</v>
      </c>
      <c r="C17" s="1"/>
    </row>
    <row r="18" spans="1:12" x14ac:dyDescent="0.25">
      <c r="A18" s="9"/>
      <c r="C18" s="1"/>
    </row>
    <row r="20" spans="1:12" x14ac:dyDescent="0.25">
      <c r="A20" s="13" t="s">
        <v>25</v>
      </c>
    </row>
    <row r="21" spans="1:12" ht="18.75" x14ac:dyDescent="0.3">
      <c r="A21" s="10" t="s">
        <v>44</v>
      </c>
      <c r="B21" s="16">
        <v>526104.36</v>
      </c>
      <c r="C21" s="11">
        <v>76379</v>
      </c>
      <c r="D21" s="11">
        <v>180132</v>
      </c>
      <c r="E21" s="11">
        <v>200070</v>
      </c>
      <c r="F21" s="11"/>
      <c r="G21" s="11">
        <v>229534</v>
      </c>
      <c r="H21" s="11"/>
      <c r="I21" s="11"/>
      <c r="J21" s="11">
        <v>111952</v>
      </c>
      <c r="K21" s="11">
        <f t="shared" ref="K21" si="3">B21+C21+D21+E21+G21+J21</f>
        <v>1324171.3599999999</v>
      </c>
      <c r="L21" s="17">
        <f>(C21+D21+E21+G21+J21)/K21*100</f>
        <v>60.269163350580243</v>
      </c>
    </row>
    <row r="22" spans="1:12" ht="18.75" x14ac:dyDescent="0.3">
      <c r="A22" s="10" t="s">
        <v>17</v>
      </c>
      <c r="B22" s="11">
        <v>556850</v>
      </c>
      <c r="C22" s="11">
        <v>73365</v>
      </c>
      <c r="D22" s="11">
        <v>180175</v>
      </c>
      <c r="E22" s="11">
        <v>189700</v>
      </c>
      <c r="F22" s="11"/>
      <c r="G22" s="11">
        <v>210647</v>
      </c>
      <c r="H22" s="11"/>
      <c r="I22" s="11"/>
      <c r="J22" s="11">
        <v>102208</v>
      </c>
      <c r="K22" s="11">
        <f t="shared" ref="K22:K26" si="4">B22+C22+D22+E22+G22+J22</f>
        <v>1312945</v>
      </c>
      <c r="L22" s="12">
        <f>(C22/2+D22+E22+G22+J22)/K22*100</f>
        <v>54.793803243852558</v>
      </c>
    </row>
    <row r="23" spans="1:12" ht="18.75" x14ac:dyDescent="0.3">
      <c r="A23" s="10" t="s">
        <v>18</v>
      </c>
      <c r="B23" s="11">
        <v>570850</v>
      </c>
      <c r="C23" s="11">
        <v>55530</v>
      </c>
      <c r="D23" s="11">
        <v>171827</v>
      </c>
      <c r="E23" s="11">
        <v>167490</v>
      </c>
      <c r="F23" s="11"/>
      <c r="G23" s="11">
        <v>213119</v>
      </c>
      <c r="H23" s="11"/>
      <c r="I23" s="11"/>
      <c r="J23" s="11">
        <v>103804</v>
      </c>
      <c r="K23" s="11">
        <f t="shared" si="4"/>
        <v>1282620</v>
      </c>
      <c r="L23" s="12">
        <f>(C23/2+D23+E23+G23+J23)/K23*100</f>
        <v>53.328733373875345</v>
      </c>
    </row>
    <row r="24" spans="1:12" ht="18.75" x14ac:dyDescent="0.3">
      <c r="A24" s="10" t="s">
        <v>19</v>
      </c>
      <c r="B24" s="11">
        <v>561180</v>
      </c>
      <c r="C24" s="11">
        <v>52035</v>
      </c>
      <c r="D24" s="11">
        <v>180118</v>
      </c>
      <c r="E24" s="11">
        <v>162435</v>
      </c>
      <c r="F24" s="11"/>
      <c r="G24" s="11">
        <v>194238</v>
      </c>
      <c r="H24" s="11"/>
      <c r="I24" s="11"/>
      <c r="J24" s="11">
        <v>112282</v>
      </c>
      <c r="K24" s="11">
        <f t="shared" si="4"/>
        <v>1262288</v>
      </c>
      <c r="L24" s="12">
        <f>(C24*0.55+D24+E24+G24+J24)/K24*100</f>
        <v>53.68760932528869</v>
      </c>
    </row>
    <row r="25" spans="1:12" ht="18.75" x14ac:dyDescent="0.3">
      <c r="A25" s="10" t="s">
        <v>21</v>
      </c>
      <c r="B25" s="11">
        <v>682970</v>
      </c>
      <c r="C25" s="11">
        <v>45790</v>
      </c>
      <c r="D25" s="11">
        <v>179794</v>
      </c>
      <c r="E25" s="11">
        <v>159450</v>
      </c>
      <c r="F25" s="11"/>
      <c r="G25" s="11">
        <v>137596</v>
      </c>
      <c r="H25" s="11"/>
      <c r="I25" s="11"/>
      <c r="J25" s="11">
        <v>112115</v>
      </c>
      <c r="K25" s="11">
        <f t="shared" si="4"/>
        <v>1317715</v>
      </c>
      <c r="L25" s="12">
        <f>(C25*0.4+D25+E25+G25+J25)/K25*100</f>
        <v>46.085154984196123</v>
      </c>
    </row>
    <row r="26" spans="1:12" ht="18.75" x14ac:dyDescent="0.3">
      <c r="A26" s="10" t="s">
        <v>22</v>
      </c>
      <c r="B26" s="11">
        <v>938590</v>
      </c>
      <c r="C26" s="11">
        <v>33283</v>
      </c>
      <c r="D26" s="11">
        <v>143778</v>
      </c>
      <c r="E26" s="11">
        <v>165230</v>
      </c>
      <c r="F26" s="11"/>
      <c r="G26" s="11">
        <v>82955</v>
      </c>
      <c r="H26" s="11"/>
      <c r="I26" s="11"/>
      <c r="J26" s="11">
        <v>126682</v>
      </c>
      <c r="K26" s="11">
        <f t="shared" si="4"/>
        <v>1490518</v>
      </c>
      <c r="L26" s="12">
        <f>(C26*0.413+D26+E26+G26+J26)/K26*100</f>
        <v>35.718513899194775</v>
      </c>
    </row>
    <row r="28" spans="1:12" ht="18.75" x14ac:dyDescent="0.3">
      <c r="A28" s="5" t="s">
        <v>28</v>
      </c>
    </row>
    <row r="31" spans="1:12" x14ac:dyDescent="0.25">
      <c r="A31" t="s">
        <v>36</v>
      </c>
      <c r="B31" s="7" t="s">
        <v>26</v>
      </c>
      <c r="C31" s="6" t="s">
        <v>6</v>
      </c>
      <c r="D31" s="6" t="s">
        <v>31</v>
      </c>
      <c r="E31" t="s">
        <v>32</v>
      </c>
      <c r="F31" t="s">
        <v>35</v>
      </c>
      <c r="G31" s="6" t="s">
        <v>38</v>
      </c>
      <c r="H31" s="18" t="s">
        <v>39</v>
      </c>
      <c r="I31" s="18" t="s">
        <v>40</v>
      </c>
      <c r="J31" s="18" t="s">
        <v>41</v>
      </c>
      <c r="K31" s="18" t="s">
        <v>42</v>
      </c>
      <c r="L31" s="6" t="s">
        <v>9</v>
      </c>
    </row>
    <row r="32" spans="1:12" x14ac:dyDescent="0.25">
      <c r="A32" t="s">
        <v>0</v>
      </c>
      <c r="B32" s="1">
        <f>B3*0.285571</f>
        <v>11074.57759837</v>
      </c>
      <c r="C32" s="1">
        <f>C3*0.277497</f>
        <v>2663.9712</v>
      </c>
      <c r="D32" s="1">
        <f>F3*0.088528</f>
        <v>0</v>
      </c>
      <c r="E32" s="1">
        <f>G3*0.069223</f>
        <v>618.71517400000005</v>
      </c>
      <c r="F32" s="1">
        <f>I3*0.071511</f>
        <v>0</v>
      </c>
      <c r="G32" s="1">
        <f>H3*0.183601</f>
        <v>0</v>
      </c>
      <c r="H32" s="1">
        <v>2347.4</v>
      </c>
      <c r="I32" s="1">
        <v>2607.92</v>
      </c>
      <c r="J32" s="1">
        <v>0</v>
      </c>
      <c r="K32" s="1">
        <v>970.74</v>
      </c>
      <c r="L32" s="1">
        <f>B32+C32+D32+E32+F32+G32+H32+I32+J32+K32</f>
        <v>20283.323972370006</v>
      </c>
    </row>
    <row r="33" spans="1:12" x14ac:dyDescent="0.25">
      <c r="A33" t="s">
        <v>1</v>
      </c>
      <c r="B33" s="1">
        <f t="shared" ref="B33:B43" si="5">B4*0.285571</f>
        <v>0</v>
      </c>
      <c r="C33" s="1">
        <f t="shared" ref="C33:C43" si="6">C4*0.277497</f>
        <v>0</v>
      </c>
      <c r="D33" s="1">
        <f t="shared" ref="D33:D43" si="7">F4*0.088528</f>
        <v>0</v>
      </c>
      <c r="E33" s="1">
        <f t="shared" ref="E33:E43" si="8">G4*0.069223</f>
        <v>0</v>
      </c>
      <c r="F33" s="1">
        <f t="shared" ref="F33:F43" si="9">I4*0.071511</f>
        <v>0</v>
      </c>
      <c r="G33" s="1">
        <f t="shared" ref="G33:G43" si="10">H4*0.183601</f>
        <v>0</v>
      </c>
      <c r="H33" s="1">
        <v>2347.4</v>
      </c>
      <c r="I33" s="1">
        <v>2607.92</v>
      </c>
      <c r="J33" s="1">
        <v>0</v>
      </c>
      <c r="K33" s="1">
        <v>970.74</v>
      </c>
      <c r="L33" s="1">
        <f t="shared" ref="L33:L45" si="11">B33+C33+D33+E33+F33+G33+H33+I33+J33+K33</f>
        <v>5926.0599999999995</v>
      </c>
    </row>
    <row r="34" spans="1:12" x14ac:dyDescent="0.25">
      <c r="A34" t="s">
        <v>2</v>
      </c>
      <c r="B34" s="1">
        <f t="shared" si="5"/>
        <v>0</v>
      </c>
      <c r="C34" s="1">
        <f t="shared" si="6"/>
        <v>0</v>
      </c>
      <c r="D34" s="1">
        <f t="shared" si="7"/>
        <v>0</v>
      </c>
      <c r="E34" s="1">
        <f t="shared" si="8"/>
        <v>0</v>
      </c>
      <c r="F34" s="1">
        <f t="shared" si="9"/>
        <v>0</v>
      </c>
      <c r="G34" s="1">
        <f t="shared" si="10"/>
        <v>0</v>
      </c>
      <c r="H34" s="1">
        <v>2347.4</v>
      </c>
      <c r="I34" s="1">
        <v>2607.92</v>
      </c>
      <c r="J34" s="1">
        <v>0</v>
      </c>
      <c r="K34" s="1">
        <v>970.74</v>
      </c>
      <c r="L34" s="1">
        <f t="shared" si="11"/>
        <v>5926.0599999999995</v>
      </c>
    </row>
    <row r="35" spans="1:12" x14ac:dyDescent="0.25">
      <c r="A35" t="s">
        <v>3</v>
      </c>
      <c r="B35" s="1">
        <f t="shared" si="5"/>
        <v>0</v>
      </c>
      <c r="C35" s="1">
        <f t="shared" si="6"/>
        <v>0</v>
      </c>
      <c r="D35" s="1">
        <f t="shared" si="7"/>
        <v>0</v>
      </c>
      <c r="E35" s="1">
        <f t="shared" si="8"/>
        <v>0</v>
      </c>
      <c r="F35" s="1">
        <f t="shared" si="9"/>
        <v>0</v>
      </c>
      <c r="G35" s="1">
        <f t="shared" si="10"/>
        <v>0</v>
      </c>
      <c r="H35" s="1">
        <v>2347.4</v>
      </c>
      <c r="I35" s="1">
        <v>2607.92</v>
      </c>
      <c r="J35" s="1">
        <v>0</v>
      </c>
      <c r="K35" s="1">
        <v>970.74</v>
      </c>
      <c r="L35" s="1">
        <f t="shared" si="11"/>
        <v>5926.0599999999995</v>
      </c>
    </row>
    <row r="36" spans="1:12" x14ac:dyDescent="0.25">
      <c r="A36" t="s">
        <v>4</v>
      </c>
      <c r="B36" s="1">
        <f t="shared" si="5"/>
        <v>0</v>
      </c>
      <c r="C36" s="1">
        <f t="shared" si="6"/>
        <v>0</v>
      </c>
      <c r="D36" s="1">
        <f t="shared" si="7"/>
        <v>0</v>
      </c>
      <c r="E36" s="1">
        <f t="shared" si="8"/>
        <v>0</v>
      </c>
      <c r="F36" s="1">
        <f t="shared" si="9"/>
        <v>0</v>
      </c>
      <c r="G36" s="1">
        <f t="shared" si="10"/>
        <v>0</v>
      </c>
      <c r="H36" s="1">
        <v>1173.7</v>
      </c>
      <c r="I36" s="1">
        <v>2607.92</v>
      </c>
      <c r="J36" s="1">
        <v>1173.7</v>
      </c>
      <c r="K36" s="1">
        <v>970.74</v>
      </c>
      <c r="L36" s="1">
        <f t="shared" si="11"/>
        <v>5926.0599999999995</v>
      </c>
    </row>
    <row r="37" spans="1:12" x14ac:dyDescent="0.25">
      <c r="A37" t="s">
        <v>5</v>
      </c>
      <c r="B37" s="1">
        <f t="shared" si="5"/>
        <v>0</v>
      </c>
      <c r="C37" s="1">
        <f t="shared" si="6"/>
        <v>0</v>
      </c>
      <c r="D37" s="1">
        <f t="shared" si="7"/>
        <v>0</v>
      </c>
      <c r="E37" s="1">
        <f t="shared" si="8"/>
        <v>0</v>
      </c>
      <c r="F37" s="1">
        <f t="shared" si="9"/>
        <v>0</v>
      </c>
      <c r="G37" s="1">
        <f t="shared" si="10"/>
        <v>0</v>
      </c>
      <c r="H37" s="1">
        <v>1173.7</v>
      </c>
      <c r="I37" s="1">
        <v>2607.92</v>
      </c>
      <c r="J37" s="1">
        <v>1173.7</v>
      </c>
      <c r="K37" s="1">
        <v>970.74</v>
      </c>
      <c r="L37" s="1">
        <f t="shared" si="11"/>
        <v>5926.0599999999995</v>
      </c>
    </row>
    <row r="38" spans="1:12" x14ac:dyDescent="0.25">
      <c r="A38" t="s">
        <v>11</v>
      </c>
      <c r="B38" s="1">
        <f t="shared" si="5"/>
        <v>0</v>
      </c>
      <c r="C38" s="1">
        <f t="shared" si="6"/>
        <v>0</v>
      </c>
      <c r="D38" s="1">
        <f t="shared" si="7"/>
        <v>0</v>
      </c>
      <c r="E38" s="1">
        <f t="shared" si="8"/>
        <v>0</v>
      </c>
      <c r="F38" s="1">
        <f t="shared" si="9"/>
        <v>0</v>
      </c>
      <c r="G38" s="1">
        <f t="shared" si="10"/>
        <v>0</v>
      </c>
      <c r="H38" s="1">
        <v>1173.7</v>
      </c>
      <c r="I38" s="1">
        <v>2607.92</v>
      </c>
      <c r="J38" s="1">
        <v>1173.7</v>
      </c>
      <c r="K38" s="1">
        <v>970.74</v>
      </c>
      <c r="L38" s="1">
        <f t="shared" si="11"/>
        <v>5926.0599999999995</v>
      </c>
    </row>
    <row r="39" spans="1:12" x14ac:dyDescent="0.25">
      <c r="A39" t="s">
        <v>12</v>
      </c>
      <c r="B39" s="1">
        <f t="shared" si="5"/>
        <v>0</v>
      </c>
      <c r="C39" s="1">
        <f t="shared" si="6"/>
        <v>0</v>
      </c>
      <c r="D39" s="1">
        <f t="shared" si="7"/>
        <v>0</v>
      </c>
      <c r="E39" s="1">
        <f t="shared" si="8"/>
        <v>0</v>
      </c>
      <c r="F39" s="1">
        <f t="shared" si="9"/>
        <v>0</v>
      </c>
      <c r="G39" s="1">
        <f t="shared" si="10"/>
        <v>0</v>
      </c>
      <c r="H39" s="1">
        <v>1173.7</v>
      </c>
      <c r="I39" s="1">
        <v>2607.92</v>
      </c>
      <c r="J39" s="1">
        <v>1173.7</v>
      </c>
      <c r="K39" s="1">
        <v>970.74</v>
      </c>
      <c r="L39" s="1">
        <f t="shared" si="11"/>
        <v>5926.0599999999995</v>
      </c>
    </row>
    <row r="40" spans="1:12" x14ac:dyDescent="0.25">
      <c r="A40" t="s">
        <v>13</v>
      </c>
      <c r="B40" s="1">
        <f t="shared" si="5"/>
        <v>0</v>
      </c>
      <c r="C40" s="1">
        <f t="shared" si="6"/>
        <v>0</v>
      </c>
      <c r="D40" s="1">
        <f t="shared" si="7"/>
        <v>0</v>
      </c>
      <c r="E40" s="1">
        <f t="shared" si="8"/>
        <v>0</v>
      </c>
      <c r="F40" s="1">
        <f t="shared" si="9"/>
        <v>0</v>
      </c>
      <c r="G40" s="1">
        <f t="shared" si="10"/>
        <v>0</v>
      </c>
      <c r="H40" s="1">
        <v>1173.7</v>
      </c>
      <c r="I40" s="1">
        <v>2607.92</v>
      </c>
      <c r="J40" s="1">
        <v>1173.7</v>
      </c>
      <c r="K40" s="1">
        <v>970.74</v>
      </c>
      <c r="L40" s="1">
        <f t="shared" si="11"/>
        <v>5926.0599999999995</v>
      </c>
    </row>
    <row r="41" spans="1:12" x14ac:dyDescent="0.25">
      <c r="A41" t="s">
        <v>14</v>
      </c>
      <c r="B41" s="1">
        <f t="shared" si="5"/>
        <v>0</v>
      </c>
      <c r="C41" s="1">
        <f t="shared" si="6"/>
        <v>0</v>
      </c>
      <c r="D41" s="1">
        <f t="shared" si="7"/>
        <v>0</v>
      </c>
      <c r="E41" s="1">
        <f t="shared" si="8"/>
        <v>0</v>
      </c>
      <c r="F41" s="1">
        <f t="shared" si="9"/>
        <v>0</v>
      </c>
      <c r="G41" s="1">
        <f t="shared" si="10"/>
        <v>0</v>
      </c>
      <c r="H41" s="1">
        <v>1173.7</v>
      </c>
      <c r="I41" s="1">
        <v>2607.92</v>
      </c>
      <c r="J41" s="1">
        <v>1173.7</v>
      </c>
      <c r="K41" s="1">
        <v>970.74</v>
      </c>
      <c r="L41" s="1">
        <f t="shared" si="11"/>
        <v>5926.0599999999995</v>
      </c>
    </row>
    <row r="42" spans="1:12" x14ac:dyDescent="0.25">
      <c r="A42" t="s">
        <v>15</v>
      </c>
      <c r="B42" s="1">
        <f t="shared" si="5"/>
        <v>0</v>
      </c>
      <c r="C42" s="1">
        <f t="shared" si="6"/>
        <v>0</v>
      </c>
      <c r="D42" s="1">
        <f t="shared" si="7"/>
        <v>0</v>
      </c>
      <c r="E42" s="1">
        <f t="shared" si="8"/>
        <v>0</v>
      </c>
      <c r="F42" s="1">
        <f t="shared" si="9"/>
        <v>0</v>
      </c>
      <c r="G42" s="1">
        <f t="shared" si="10"/>
        <v>0</v>
      </c>
      <c r="H42" s="1">
        <v>1173.7</v>
      </c>
      <c r="I42" s="1">
        <v>2607.92</v>
      </c>
      <c r="J42" s="1">
        <v>1173.7</v>
      </c>
      <c r="K42" s="1">
        <v>970.74</v>
      </c>
      <c r="L42" s="1">
        <f t="shared" si="11"/>
        <v>5926.0599999999995</v>
      </c>
    </row>
    <row r="43" spans="1:12" x14ac:dyDescent="0.25">
      <c r="A43" t="s">
        <v>16</v>
      </c>
      <c r="B43" s="1">
        <f t="shared" si="5"/>
        <v>0</v>
      </c>
      <c r="C43" s="1">
        <f t="shared" si="6"/>
        <v>0</v>
      </c>
      <c r="D43" s="1">
        <f t="shared" si="7"/>
        <v>0</v>
      </c>
      <c r="E43" s="1">
        <f t="shared" si="8"/>
        <v>0</v>
      </c>
      <c r="F43" s="1">
        <f t="shared" si="9"/>
        <v>0</v>
      </c>
      <c r="G43" s="1">
        <f t="shared" si="10"/>
        <v>0</v>
      </c>
      <c r="H43" s="1">
        <v>1173.7</v>
      </c>
      <c r="I43" s="1">
        <v>2607.92</v>
      </c>
      <c r="J43" s="1">
        <v>1173.7</v>
      </c>
      <c r="K43" s="1">
        <v>970.74</v>
      </c>
      <c r="L43" s="1">
        <f t="shared" si="11"/>
        <v>5926.0599999999995</v>
      </c>
    </row>
    <row r="44" spans="1:12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1:12" ht="18.75" x14ac:dyDescent="0.3">
      <c r="A45" s="9" t="s">
        <v>37</v>
      </c>
      <c r="B45" s="2">
        <f>SUM(B32:B44)</f>
        <v>11074.57759837</v>
      </c>
      <c r="C45" s="2">
        <f t="shared" ref="C45:E45" si="12">SUM(C32:C44)</f>
        <v>2663.9712</v>
      </c>
      <c r="D45" s="2">
        <f t="shared" si="12"/>
        <v>0</v>
      </c>
      <c r="E45" s="2">
        <f t="shared" si="12"/>
        <v>618.71517400000005</v>
      </c>
      <c r="F45" s="2"/>
      <c r="G45" s="2">
        <f t="shared" ref="G45:K45" si="13">SUM(G32:G44)</f>
        <v>0</v>
      </c>
      <c r="H45" s="2">
        <f t="shared" si="13"/>
        <v>18779.200000000004</v>
      </c>
      <c r="I45" s="2">
        <f t="shared" si="13"/>
        <v>31295.039999999994</v>
      </c>
      <c r="J45" s="2">
        <f t="shared" ref="J45" si="14">SUM(J32:J44)</f>
        <v>9389.6</v>
      </c>
      <c r="K45" s="2">
        <f t="shared" si="13"/>
        <v>11648.88</v>
      </c>
      <c r="L45" s="1">
        <f t="shared" si="11"/>
        <v>85469.983972370013</v>
      </c>
    </row>
    <row r="48" spans="1:12" x14ac:dyDescent="0.25">
      <c r="K48" t="s">
        <v>43</v>
      </c>
      <c r="L48" s="19">
        <f>SUM(L32:L43)</f>
        <v>85469.983972369984</v>
      </c>
    </row>
  </sheetData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F3" sqref="F3"/>
    </sheetView>
  </sheetViews>
  <sheetFormatPr defaultRowHeight="15" x14ac:dyDescent="0.25"/>
  <cols>
    <col min="1" max="1" width="15.85546875" customWidth="1"/>
    <col min="2" max="2" width="15.42578125" customWidth="1"/>
    <col min="3" max="3" width="12.42578125" customWidth="1"/>
    <col min="4" max="4" width="12.7109375" customWidth="1"/>
  </cols>
  <sheetData>
    <row r="1" spans="1:4" x14ac:dyDescent="0.25">
      <c r="A1" t="s">
        <v>53</v>
      </c>
      <c r="B1" t="s">
        <v>55</v>
      </c>
      <c r="C1" t="s">
        <v>54</v>
      </c>
      <c r="D1" t="s">
        <v>52</v>
      </c>
    </row>
    <row r="3" spans="1:4" x14ac:dyDescent="0.25">
      <c r="A3">
        <v>2041</v>
      </c>
      <c r="B3">
        <v>3.3000000000000002E-2</v>
      </c>
      <c r="C3">
        <v>52</v>
      </c>
      <c r="D3" s="23">
        <f>A3*B3*C3</f>
        <v>3502.3560000000007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2019</vt:lpstr>
      <vt:lpstr>Foglio1</vt:lpstr>
      <vt:lpstr>costo sacchetto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2020-10-26T11:20:55Z</dcterms:modified>
</cp:coreProperties>
</file>